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c\Documents\"/>
    </mc:Choice>
  </mc:AlternateContent>
  <bookViews>
    <workbookView xWindow="330" yWindow="15" windowWidth="11340" windowHeight="6540" tabRatio="330" firstSheet="1" activeTab="1"/>
  </bookViews>
  <sheets>
    <sheet name="Jr. Beregning Opr." sheetId="1" state="hidden" r:id="rId1"/>
    <sheet name="ark 1" sheetId="4" r:id="rId2"/>
  </sheets>
  <calcPr calcId="152511"/>
</workbook>
</file>

<file path=xl/calcChain.xml><?xml version="1.0" encoding="utf-8"?>
<calcChain xmlns="http://schemas.openxmlformats.org/spreadsheetml/2006/main">
  <c r="N9" i="4" l="1"/>
  <c r="N26" i="4" l="1"/>
  <c r="O26" i="4" s="1"/>
  <c r="H26" i="4"/>
  <c r="F26" i="4"/>
  <c r="N25" i="4"/>
  <c r="O25" i="4" s="1"/>
  <c r="H25" i="4"/>
  <c r="F25" i="4"/>
  <c r="N24" i="4"/>
  <c r="O24" i="4" s="1"/>
  <c r="H24" i="4"/>
  <c r="F24" i="4"/>
  <c r="D63" i="4" l="1"/>
  <c r="D62" i="4"/>
  <c r="D54" i="4"/>
  <c r="D51" i="4"/>
  <c r="D48" i="4"/>
  <c r="D46" i="4"/>
  <c r="K45" i="4"/>
  <c r="K44" i="4" s="1"/>
  <c r="K39" i="4"/>
  <c r="U34" i="4"/>
  <c r="S34" i="4"/>
  <c r="R34" i="4"/>
  <c r="Q34" i="4"/>
  <c r="N34" i="4"/>
  <c r="O34" i="4" s="1"/>
  <c r="H34" i="4"/>
  <c r="F34" i="4"/>
  <c r="M32" i="4"/>
  <c r="M36" i="4" s="1"/>
  <c r="L32" i="4"/>
  <c r="L36" i="4" s="1"/>
  <c r="K32" i="4"/>
  <c r="K36" i="4" s="1"/>
  <c r="K41" i="4" s="1"/>
  <c r="G32" i="4"/>
  <c r="G36" i="4" s="1"/>
  <c r="E32" i="4"/>
  <c r="D32" i="4"/>
  <c r="D36" i="4" s="1"/>
  <c r="S17" i="4"/>
  <c r="Q17" i="4"/>
  <c r="R17" i="4" s="1"/>
  <c r="N17" i="4"/>
  <c r="O17" i="4" s="1"/>
  <c r="H17" i="4"/>
  <c r="F17" i="4"/>
  <c r="S16" i="4"/>
  <c r="Q16" i="4"/>
  <c r="R16" i="4" s="1"/>
  <c r="N16" i="4"/>
  <c r="O16" i="4" s="1"/>
  <c r="H16" i="4"/>
  <c r="F16" i="4"/>
  <c r="S15" i="4"/>
  <c r="Q15" i="4"/>
  <c r="R15" i="4" s="1"/>
  <c r="N15" i="4"/>
  <c r="O15" i="4" s="1"/>
  <c r="H15" i="4"/>
  <c r="F15" i="4"/>
  <c r="S14" i="4"/>
  <c r="Q14" i="4"/>
  <c r="R14" i="4" s="1"/>
  <c r="N14" i="4"/>
  <c r="O14" i="4" s="1"/>
  <c r="H14" i="4"/>
  <c r="F14" i="4"/>
  <c r="S13" i="4"/>
  <c r="Q13" i="4"/>
  <c r="R13" i="4" s="1"/>
  <c r="N13" i="4"/>
  <c r="O13" i="4" s="1"/>
  <c r="H13" i="4"/>
  <c r="F13" i="4"/>
  <c r="S12" i="4"/>
  <c r="Q12" i="4"/>
  <c r="R12" i="4" s="1"/>
  <c r="N12" i="4"/>
  <c r="O12" i="4" s="1"/>
  <c r="H12" i="4"/>
  <c r="F12" i="4"/>
  <c r="S11" i="4"/>
  <c r="Q11" i="4"/>
  <c r="R11" i="4" s="1"/>
  <c r="N11" i="4"/>
  <c r="O11" i="4" s="1"/>
  <c r="H11" i="4"/>
  <c r="F11" i="4"/>
  <c r="S10" i="4"/>
  <c r="Q10" i="4"/>
  <c r="R10" i="4" s="1"/>
  <c r="N10" i="4"/>
  <c r="O10" i="4" s="1"/>
  <c r="H10" i="4"/>
  <c r="F10" i="4"/>
  <c r="S9" i="4"/>
  <c r="Q9" i="4"/>
  <c r="R9" i="4" s="1"/>
  <c r="O9" i="4"/>
  <c r="H9" i="4"/>
  <c r="F9" i="4"/>
  <c r="S8" i="4"/>
  <c r="Q8" i="4"/>
  <c r="R8" i="4" s="1"/>
  <c r="N8" i="4"/>
  <c r="O8" i="4" s="1"/>
  <c r="H8" i="4"/>
  <c r="F8" i="4"/>
  <c r="S7" i="4"/>
  <c r="Q7" i="4"/>
  <c r="R7" i="4" s="1"/>
  <c r="N7" i="4"/>
  <c r="O7" i="4" s="1"/>
  <c r="H7" i="4"/>
  <c r="F7" i="4"/>
  <c r="S6" i="4"/>
  <c r="Q6" i="4"/>
  <c r="R6" i="4" s="1"/>
  <c r="N6" i="4"/>
  <c r="H6" i="4"/>
  <c r="F6" i="4"/>
  <c r="H36" i="4" l="1"/>
  <c r="Q32" i="4"/>
  <c r="D55" i="4"/>
  <c r="K42" i="4" s="1"/>
  <c r="H32" i="4"/>
  <c r="R32" i="4"/>
  <c r="R36" i="4" s="1"/>
  <c r="S32" i="4"/>
  <c r="S36" i="4" s="1"/>
  <c r="Q41" i="4" s="1"/>
  <c r="N32" i="4"/>
  <c r="N36" i="4" s="1"/>
  <c r="O6" i="4"/>
  <c r="O32" i="4" s="1"/>
  <c r="O36" i="4" s="1"/>
  <c r="F32" i="4"/>
  <c r="E36" i="4"/>
  <c r="F36" i="4" s="1"/>
  <c r="D58" i="4" l="1"/>
  <c r="D64" i="4" s="1"/>
  <c r="Q42" i="4" s="1"/>
  <c r="Q36" i="4"/>
  <c r="K43" i="4"/>
  <c r="Q40" i="4"/>
  <c r="U32" i="4"/>
  <c r="U36" i="4" s="1"/>
  <c r="T34" i="4" l="1"/>
  <c r="V34" i="4" s="1"/>
  <c r="Q39" i="4"/>
  <c r="T9" i="4"/>
  <c r="V9" i="4" s="1"/>
  <c r="T17" i="4"/>
  <c r="V17" i="4" s="1"/>
  <c r="T6" i="4"/>
  <c r="T12" i="4"/>
  <c r="V12" i="4" s="1"/>
  <c r="T10" i="4"/>
  <c r="V10" i="4" s="1"/>
  <c r="T7" i="4"/>
  <c r="V7" i="4" s="1"/>
  <c r="T14" i="4"/>
  <c r="V14" i="4" s="1"/>
  <c r="T8" i="4"/>
  <c r="V8" i="4" s="1"/>
  <c r="T13" i="4"/>
  <c r="V13" i="4" s="1"/>
  <c r="T15" i="4"/>
  <c r="V15" i="4" s="1"/>
  <c r="T11" i="4"/>
  <c r="V11" i="4" s="1"/>
  <c r="T16" i="4"/>
  <c r="V16" i="4" s="1"/>
  <c r="T32" i="4" l="1"/>
  <c r="T36" i="4" s="1"/>
  <c r="V6" i="4"/>
  <c r="V32" i="4" s="1"/>
  <c r="V36" i="4" s="1"/>
  <c r="N8" i="1" l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G53" i="1" l="1"/>
  <c r="F53" i="1"/>
  <c r="K9" i="1" l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I53" i="1" l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comments1.xml><?xml version="1.0" encoding="utf-8"?>
<comments xmlns="http://schemas.openxmlformats.org/spreadsheetml/2006/main">
  <authors>
    <author>Jette Poulsen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tillagt 5 mdr. for 3 klubber som lukker 1.8.18
</t>
        </r>
      </text>
    </comment>
  </commentList>
</comments>
</file>

<file path=xl/sharedStrings.xml><?xml version="1.0" encoding="utf-8"?>
<sst xmlns="http://schemas.openxmlformats.org/spreadsheetml/2006/main" count="163" uniqueCount="130">
  <si>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</si>
  <si>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</si>
  <si>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</si>
  <si>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</si>
  <si>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</si>
  <si>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</si>
  <si>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</si>
  <si>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</si>
  <si>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</si>
  <si>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</si>
  <si>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</si>
  <si>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</si>
  <si>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</si>
  <si>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</si>
  <si>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</si>
  <si>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</si>
  <si>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</si>
  <si>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</si>
  <si>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</si>
  <si>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</si>
  <si>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</si>
  <si>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</si>
  <si>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</si>
  <si>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</si>
  <si>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</si>
  <si>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</si>
  <si>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</si>
  <si>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</si>
  <si>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</si>
  <si>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</si>
  <si>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</si>
  <si>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</si>
  <si>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</si>
  <si>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</si>
  <si>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</si>
  <si>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</si>
  <si>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</si>
  <si>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</si>
  <si>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</si>
  <si>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</si>
  <si>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</si>
  <si>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</si>
  <si>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</si>
  <si>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</si>
  <si>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</si>
  <si>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</si>
  <si>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</si>
  <si>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</si>
  <si>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</si>
  <si>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</si>
  <si>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</si>
  <si>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</si>
  <si>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</si>
  <si>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</si>
  <si>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</si>
  <si>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</si>
  <si>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</si>
  <si>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</si>
  <si>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</si>
  <si>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</si>
  <si>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</si>
  <si>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</si>
  <si>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</si>
  <si>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</si>
  <si>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</si>
  <si>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</si>
  <si>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</si>
  <si>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</si>
  <si>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</si>
  <si>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</si>
  <si>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</si>
  <si>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</si>
  <si>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</si>
  <si>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</si>
  <si>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Tildeling pr. barn.</t>
  </si>
  <si>
    <r>
      <t xml:space="preserve">Samlet segment
</t>
    </r>
    <r>
      <rPr>
        <sz val="8"/>
        <rFont val="Arial"/>
        <family val="2"/>
      </rPr>
      <t>Elever i 4..6 kl.</t>
    </r>
  </si>
  <si>
    <t>Total i alt:</t>
  </si>
  <si>
    <t>(%)</t>
  </si>
  <si>
    <r>
      <t xml:space="preserve">Blåvandshuk Skole </t>
    </r>
    <r>
      <rPr>
        <sz val="8"/>
        <rFont val="Arial"/>
        <family val="2"/>
      </rPr>
      <t>(Samuelsgården)</t>
    </r>
  </si>
  <si>
    <r>
      <t xml:space="preserve">Kontingent
</t>
    </r>
    <r>
      <rPr>
        <sz val="8"/>
        <rFont val="Arial"/>
        <family val="2"/>
      </rPr>
      <t>(gl. ordning)</t>
    </r>
  </si>
  <si>
    <t>(kr)</t>
  </si>
  <si>
    <t>Lukning af Billum</t>
  </si>
  <si>
    <t>Lukning pga. struktur 3 klubber</t>
  </si>
  <si>
    <t>Budget i alt</t>
  </si>
  <si>
    <t xml:space="preserve">Total
</t>
  </si>
  <si>
    <t>(2018 Pris)</t>
  </si>
  <si>
    <t xml:space="preserve">Forslag til ny tildelingsmodel
til juniorkluber og SFO 2 </t>
  </si>
  <si>
    <r>
      <t xml:space="preserve">Kontingent
</t>
    </r>
    <r>
      <rPr>
        <sz val="8"/>
        <rFont val="Arial"/>
        <family val="2"/>
      </rPr>
      <t>(gl. ordning 11 mdr. )</t>
    </r>
  </si>
  <si>
    <r>
      <t xml:space="preserve">Nuværende tildeling </t>
    </r>
    <r>
      <rPr>
        <sz val="8"/>
        <color theme="1"/>
        <rFont val="Arial"/>
        <family val="2"/>
      </rPr>
      <t>-                                                                                    Minimumstildeling og frivillig kontingent</t>
    </r>
  </si>
  <si>
    <t>Minimumstildeling til 17 børn</t>
  </si>
  <si>
    <t xml:space="preserve">Samlede antal børn.  </t>
  </si>
  <si>
    <t>Minimumstildeling til 12 børn</t>
  </si>
  <si>
    <r>
      <t xml:space="preserve">Frem-møde børn
</t>
    </r>
    <r>
      <rPr>
        <sz val="8"/>
        <rFont val="Arial"/>
        <family val="2"/>
      </rPr>
      <t>15/3-2018</t>
    </r>
  </si>
  <si>
    <r>
      <t xml:space="preserve">Børn tilmeldt
</t>
    </r>
    <r>
      <rPr>
        <sz val="8"/>
        <rFont val="Arial"/>
        <family val="2"/>
      </rPr>
      <t>pr. 5/9-2018</t>
    </r>
  </si>
  <si>
    <t>Demografi pr. 5/9-2018</t>
  </si>
  <si>
    <t>Sct. Jacobi skole</t>
  </si>
  <si>
    <t>Starup skole</t>
  </si>
  <si>
    <t xml:space="preserve">Budget 2019 </t>
  </si>
  <si>
    <t>Besparelse i budget 2019</t>
  </si>
  <si>
    <t>Budget 2019</t>
  </si>
  <si>
    <t>Budget 2018 efter demografi-reg.5/9-18</t>
  </si>
  <si>
    <t>tilrettet i forhold til børnetal pr. 5/9-2018 og med besparelse på 276.000 kr.  fra 1/1-2019</t>
  </si>
  <si>
    <r>
      <t xml:space="preserve">Fremmøde børn
</t>
    </r>
    <r>
      <rPr>
        <sz val="8"/>
        <rFont val="Arial"/>
        <family val="2"/>
      </rPr>
      <t>(5/9-2018)</t>
    </r>
  </si>
  <si>
    <r>
      <t xml:space="preserve">Fremmøde børn
</t>
    </r>
    <r>
      <rPr>
        <sz val="9"/>
        <rFont val="Arial"/>
        <family val="2"/>
      </rPr>
      <t>(</t>
    </r>
    <r>
      <rPr>
        <sz val="8"/>
        <rFont val="Arial"/>
        <family val="2"/>
      </rPr>
      <t>5/9-2018)</t>
    </r>
  </si>
  <si>
    <t>Skønnet tllmeldte børn
pr. 1/1-2019</t>
  </si>
  <si>
    <t>Antal tilmeldte pr.1/1-2019 skønnet som 50% af segment</t>
  </si>
  <si>
    <t>Lukkede klubber pr. 1/8-2018:</t>
  </si>
  <si>
    <t>Tilskud
2018</t>
  </si>
  <si>
    <t>Tilskud
i 2019
efter budget-reduktion</t>
  </si>
  <si>
    <t>Lykkesgårdsskolen</t>
  </si>
  <si>
    <t>Alslev skole</t>
  </si>
  <si>
    <t>Helårsvirkning af lukkede</t>
  </si>
  <si>
    <t>klubber pr. 1/8-2019</t>
  </si>
  <si>
    <t>Budgetramme herefter</t>
  </si>
  <si>
    <t>Lukkede klubber pr. 1/8-2019:</t>
  </si>
  <si>
    <t>Budget 2019 ex. lukkede klubber pr. 1.8.2019 (helårsvirkning)</t>
  </si>
  <si>
    <t>Forslag til ny tildelingsmodel til juniorklubber og SFO2 fra 1.8.2019</t>
  </si>
  <si>
    <t>Effektiviseringen på 0,5%'s besparelsen er ikke indregnet.</t>
  </si>
  <si>
    <r>
      <t xml:space="preserve">Tilskud
</t>
    </r>
    <r>
      <rPr>
        <sz val="8"/>
        <rFont val="Arial"/>
        <family val="2"/>
      </rPr>
      <t>(11.555 kr. pr. barn)</t>
    </r>
  </si>
  <si>
    <r>
      <t xml:space="preserve">Kontingent
</t>
    </r>
    <r>
      <rPr>
        <sz val="8"/>
        <rFont val="Arial"/>
        <family val="2"/>
      </rPr>
      <t>(0-200 kr. pr. måned)</t>
    </r>
  </si>
  <si>
    <t>Frivillig kontingent (0-200 kr. pr. måned)</t>
  </si>
  <si>
    <t>Nordenskov-Næsbjerg skole, Nordenskov afd.</t>
  </si>
  <si>
    <t>Årre Børnecenter</t>
  </si>
  <si>
    <r>
      <t>I forhold til fremmøde med minimumstildeling -</t>
    </r>
    <r>
      <rPr>
        <sz val="8"/>
        <color theme="1"/>
        <rFont val="Arial"/>
        <family val="2"/>
      </rPr>
      <t xml:space="preserve"> kontingent som nuv. ordning</t>
    </r>
  </si>
  <si>
    <t>Nordenskov-Næsbjerg Skole, Næsbjerg afd.</t>
  </si>
  <si>
    <t>Blåbjergskolen - Outrup afd.</t>
  </si>
  <si>
    <t>Blåvandshuk Skole, Janderup afd.</t>
  </si>
  <si>
    <t>Trane Skole, Thorstrup afd.</t>
  </si>
  <si>
    <t>Trane Skole, Tistrup afd.</t>
  </si>
  <si>
    <t>Agerbæk-Starup Skole, Agerbæk 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</si>
</sst>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  <numFmt numFmtId="170" formatCode="0\ &quot;kr. /mdr.&quot;"/>
    <numFmt numFmtId="171" formatCode="0.00\ &quot;%&quot;"/>
    <numFmt numFmtId="172" formatCode="0\ &quot;kr. /½ år&quot;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i/>
      <sz val="10"/>
      <name val="Arial"/>
      <family val="2"/>
    </font>
    <font>
      <sz val="16"/>
      <color rgb="FFFF0000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E37222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/>
      <right style="thick">
        <color rgb="FFE37222"/>
      </right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/>
      <right style="thick">
        <color rgb="FFE37222"/>
      </right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  <border>
      <left/>
      <right style="thick">
        <color rgb="FFE37222"/>
      </right>
      <top style="dotted">
        <color rgb="FFE37222"/>
      </top>
      <bottom style="thick">
        <color rgb="FFE37222"/>
      </bottom>
      <diagonal/>
    </border>
    <border>
      <left style="thick">
        <color rgb="FFE37222"/>
      </left>
      <right/>
      <top style="dotted">
        <color rgb="FFE37222"/>
      </top>
      <bottom style="dotted">
        <color rgb="FFE37222"/>
      </bottom>
      <diagonal/>
    </border>
    <border>
      <left/>
      <right/>
      <top style="dotted">
        <color rgb="FFE37222"/>
      </top>
      <bottom style="dotted">
        <color rgb="FFE37222"/>
      </bottom>
      <diagonal/>
    </border>
    <border>
      <left/>
      <right style="thick">
        <color rgb="FFE37222"/>
      </right>
      <top style="dotted">
        <color rgb="FFE37222"/>
      </top>
      <bottom style="dotted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8" fillId="0" borderId="0" xfId="0" applyFont="1"/>
    <xf numFmtId="0" fontId="5" fillId="0" borderId="20" xfId="1" applyNumberFormat="1" applyFont="1" applyBorder="1" applyAlignment="1">
      <alignment vertical="center" wrapText="1"/>
    </xf>
    <xf numFmtId="0" fontId="5" fillId="0" borderId="21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vertical="center" wrapText="1"/>
    </xf>
    <xf numFmtId="3" fontId="8" fillId="0" borderId="23" xfId="1" applyNumberFormat="1" applyFont="1" applyBorder="1"/>
    <xf numFmtId="3" fontId="8" fillId="0" borderId="0" xfId="1" applyNumberFormat="1" applyFont="1" applyBorder="1"/>
    <xf numFmtId="3" fontId="8" fillId="0" borderId="24" xfId="1" applyNumberFormat="1" applyFont="1" applyBorder="1"/>
    <xf numFmtId="0" fontId="8" fillId="0" borderId="0" xfId="0" applyNumberFormat="1" applyFont="1"/>
    <xf numFmtId="3" fontId="8" fillId="0" borderId="0" xfId="0" applyNumberFormat="1" applyFont="1" applyAlignment="1"/>
    <xf numFmtId="3" fontId="8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171" fontId="0" fillId="0" borderId="0" xfId="0" applyNumberFormat="1"/>
    <xf numFmtId="0" fontId="0" fillId="0" borderId="0" xfId="0" applyBorder="1"/>
    <xf numFmtId="0" fontId="0" fillId="0" borderId="23" xfId="0" applyBorder="1"/>
    <xf numFmtId="0" fontId="11" fillId="0" borderId="0" xfId="0" applyFont="1" applyBorder="1"/>
    <xf numFmtId="0" fontId="11" fillId="0" borderId="2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171" fontId="12" fillId="0" borderId="0" xfId="0" applyNumberFormat="1" applyFont="1" applyBorder="1" applyAlignment="1">
      <alignment horizontal="left"/>
    </xf>
    <xf numFmtId="171" fontId="12" fillId="0" borderId="29" xfId="0" applyNumberFormat="1" applyFont="1" applyBorder="1" applyAlignment="1">
      <alignment horizontal="left"/>
    </xf>
    <xf numFmtId="171" fontId="12" fillId="0" borderId="26" xfId="0" applyNumberFormat="1" applyFont="1" applyBorder="1" applyAlignment="1">
      <alignment horizontal="left"/>
    </xf>
    <xf numFmtId="171" fontId="13" fillId="0" borderId="0" xfId="0" applyNumberFormat="1" applyFont="1" applyBorder="1" applyAlignment="1">
      <alignment horizontal="left"/>
    </xf>
    <xf numFmtId="0" fontId="11" fillId="0" borderId="23" xfId="0" applyFont="1" applyBorder="1" applyAlignment="1">
      <alignment vertical="center" wrapText="1"/>
    </xf>
    <xf numFmtId="170" fontId="12" fillId="0" borderId="0" xfId="0" applyNumberFormat="1" applyFont="1" applyBorder="1" applyAlignment="1">
      <alignment horizontal="left"/>
    </xf>
    <xf numFmtId="0" fontId="14" fillId="0" borderId="0" xfId="0" applyFont="1"/>
    <xf numFmtId="3" fontId="8" fillId="0" borderId="25" xfId="1" applyNumberFormat="1" applyFont="1" applyBorder="1"/>
    <xf numFmtId="3" fontId="8" fillId="0" borderId="26" xfId="1" applyNumberFormat="1" applyFont="1" applyBorder="1"/>
    <xf numFmtId="3" fontId="8" fillId="0" borderId="28" xfId="1" applyNumberFormat="1" applyFont="1" applyBorder="1"/>
    <xf numFmtId="170" fontId="12" fillId="0" borderId="30" xfId="0" applyNumberFormat="1" applyFont="1" applyBorder="1" applyAlignment="1">
      <alignment horizontal="left"/>
    </xf>
    <xf numFmtId="3" fontId="8" fillId="0" borderId="30" xfId="1" applyNumberFormat="1" applyFont="1" applyFill="1" applyBorder="1"/>
    <xf numFmtId="3" fontId="8" fillId="0" borderId="27" xfId="1" applyNumberFormat="1" applyFont="1" applyFill="1" applyBorder="1"/>
    <xf numFmtId="0" fontId="9" fillId="0" borderId="0" xfId="0" applyFont="1" applyBorder="1" applyAlignment="1">
      <alignment horizontal="left"/>
    </xf>
    <xf numFmtId="0" fontId="5" fillId="0" borderId="0" xfId="1" applyNumberFormat="1" applyFont="1" applyBorder="1" applyAlignment="1">
      <alignment vertical="center" wrapText="1"/>
    </xf>
    <xf numFmtId="3" fontId="8" fillId="0" borderId="0" xfId="1" applyNumberFormat="1" applyFont="1" applyFill="1" applyBorder="1"/>
    <xf numFmtId="0" fontId="16" fillId="0" borderId="0" xfId="0" applyFont="1"/>
    <xf numFmtId="171" fontId="12" fillId="0" borderId="27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3" fontId="11" fillId="0" borderId="0" xfId="0" applyNumberFormat="1" applyFont="1"/>
    <xf numFmtId="3" fontId="8" fillId="0" borderId="29" xfId="1" applyNumberFormat="1" applyFont="1" applyFill="1" applyBorder="1"/>
    <xf numFmtId="0" fontId="11" fillId="0" borderId="0" xfId="0" applyFont="1" applyBorder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center" wrapText="1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19" fillId="0" borderId="0" xfId="0" applyFont="1"/>
    <xf numFmtId="0" fontId="1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3" fontId="0" fillId="0" borderId="0" xfId="0" applyNumberFormat="1" applyBorder="1"/>
    <xf numFmtId="3" fontId="6" fillId="0" borderId="0" xfId="1" applyNumberFormat="1" applyFont="1" applyBorder="1"/>
    <xf numFmtId="3" fontId="6" fillId="0" borderId="0" xfId="1" applyNumberFormat="1" applyFont="1" applyFill="1" applyBorder="1"/>
    <xf numFmtId="0" fontId="6" fillId="0" borderId="0" xfId="0" applyNumberFormat="1" applyFont="1"/>
    <xf numFmtId="0" fontId="6" fillId="0" borderId="0" xfId="0" applyFont="1"/>
    <xf numFmtId="0" fontId="6" fillId="0" borderId="0" xfId="0" applyNumberFormat="1" applyFont="1" applyAlignment="1">
      <alignment horizontal="left"/>
    </xf>
    <xf numFmtId="3" fontId="6" fillId="0" borderId="0" xfId="0" applyNumberFormat="1" applyFont="1"/>
    <xf numFmtId="0" fontId="21" fillId="0" borderId="0" xfId="0" applyFont="1"/>
    <xf numFmtId="3" fontId="22" fillId="0" borderId="0" xfId="0" applyNumberFormat="1" applyFont="1"/>
    <xf numFmtId="0" fontId="22" fillId="0" borderId="0" xfId="0" applyNumberFormat="1" applyFont="1"/>
    <xf numFmtId="3" fontId="22" fillId="0" borderId="0" xfId="0" applyNumberFormat="1" applyFont="1" applyAlignment="1"/>
    <xf numFmtId="0" fontId="23" fillId="0" borderId="0" xfId="0" applyFont="1"/>
    <xf numFmtId="3" fontId="4" fillId="0" borderId="0" xfId="1" applyNumberFormat="1" applyFont="1" applyBorder="1"/>
    <xf numFmtId="3" fontId="4" fillId="0" borderId="24" xfId="1" applyNumberFormat="1" applyFont="1" applyBorder="1"/>
    <xf numFmtId="3" fontId="4" fillId="0" borderId="29" xfId="1" applyNumberFormat="1" applyFont="1" applyFill="1" applyBorder="1"/>
    <xf numFmtId="3" fontId="4" fillId="0" borderId="30" xfId="1" applyNumberFormat="1" applyFont="1" applyFill="1" applyBorder="1"/>
    <xf numFmtId="3" fontId="4" fillId="0" borderId="26" xfId="1" applyNumberFormat="1" applyFont="1" applyBorder="1"/>
    <xf numFmtId="3" fontId="4" fillId="0" borderId="27" xfId="1" applyNumberFormat="1" applyFont="1" applyFill="1" applyBorder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24" fillId="0" borderId="21" xfId="1" applyNumberFormat="1" applyFont="1" applyBorder="1" applyAlignment="1">
      <alignment vertical="center" wrapText="1"/>
    </xf>
    <xf numFmtId="172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3" fontId="8" fillId="0" borderId="16" xfId="0" applyNumberFormat="1" applyFont="1" applyBorder="1"/>
    <xf numFmtId="0" fontId="22" fillId="0" borderId="0" xfId="0" applyNumberFormat="1" applyFont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69"/>
  <sheetViews>
    <sheetView showGridLines="0" tabSelected="1" topLeftCell="A5" zoomScaleNormal="100" workbookViewId="0">
      <selection activeCell="C13" sqref="C13"/>
    </sheetView>
  </sheetViews>
  <sheetFormatPr defaultRowHeight="12.75" x14ac:dyDescent="0.2"/>
  <cols>
    <col min="1" max="1" width="1.140625" customWidth="1"/>
    <col min="2" max="2" width="1.42578125" customWidth="1"/>
    <col min="3" max="3" width="42.140625" customWidth="1"/>
    <col min="4" max="4" width="9.42578125" customWidth="1"/>
    <col min="5" max="5" width="9" customWidth="1"/>
    <col min="6" max="6" width="9.28515625" style="109" hidden="1" customWidth="1"/>
    <col min="7" max="7" width="7.85546875" hidden="1" customWidth="1"/>
    <col min="8" max="8" width="8.85546875" style="109" hidden="1" customWidth="1"/>
    <col min="9" max="9" width="12.5703125" style="109" customWidth="1"/>
    <col min="10" max="10" width="1.42578125" customWidth="1"/>
    <col min="11" max="11" width="10" style="97" customWidth="1"/>
    <col min="12" max="12" width="9.28515625" style="97" customWidth="1"/>
    <col min="13" max="13" width="9.7109375" style="97" customWidth="1"/>
    <col min="14" max="14" width="10.42578125" style="97" customWidth="1"/>
    <col min="15" max="15" width="10.7109375" style="97" customWidth="1"/>
    <col min="16" max="16" width="1.140625" customWidth="1"/>
    <col min="17" max="17" width="9" style="97" customWidth="1"/>
    <col min="18" max="18" width="10.5703125" style="97" customWidth="1"/>
    <col min="19" max="19" width="10.140625" style="97" customWidth="1"/>
    <col min="20" max="20" width="9.5703125" style="97" customWidth="1"/>
    <col min="21" max="21" width="11" style="97" customWidth="1"/>
    <col min="22" max="22" width="10" style="97" customWidth="1"/>
    <col min="23" max="23" width="1.42578125" style="97" customWidth="1"/>
    <col min="24" max="24" width="1.42578125" style="139" customWidth="1"/>
  </cols>
  <sheetData>
    <row r="1" spans="2:24" ht="20.25" x14ac:dyDescent="0.3">
      <c r="C1" s="144" t="s">
        <v>116</v>
      </c>
      <c r="S1" s="155"/>
    </row>
    <row r="2" spans="2:24" ht="14.25" x14ac:dyDescent="0.2">
      <c r="C2" s="159" t="s">
        <v>101</v>
      </c>
    </row>
    <row r="3" spans="2:24" ht="39" customHeight="1" thickBot="1" x14ac:dyDescent="0.35">
      <c r="C3" s="133"/>
      <c r="J3" s="110"/>
      <c r="K3" s="178" t="s">
        <v>88</v>
      </c>
      <c r="L3" s="178"/>
      <c r="M3" s="178"/>
      <c r="N3" s="178"/>
      <c r="O3" s="178"/>
      <c r="Q3" s="178" t="s">
        <v>123</v>
      </c>
      <c r="R3" s="178"/>
      <c r="S3" s="178"/>
      <c r="T3" s="178"/>
      <c r="U3" s="178"/>
      <c r="V3" s="178"/>
      <c r="W3" s="130"/>
      <c r="X3" s="140"/>
    </row>
    <row r="4" spans="2:24" s="107" customFormat="1" ht="68.25" customHeight="1" thickTop="1" thickBot="1" x14ac:dyDescent="0.25">
      <c r="B4" s="179" t="s">
        <v>86</v>
      </c>
      <c r="C4" s="180"/>
      <c r="D4" s="113" t="s">
        <v>75</v>
      </c>
      <c r="E4" s="180" t="s">
        <v>93</v>
      </c>
      <c r="F4" s="180"/>
      <c r="G4" s="180" t="s">
        <v>92</v>
      </c>
      <c r="H4" s="180"/>
      <c r="I4" s="113" t="s">
        <v>79</v>
      </c>
      <c r="J4" s="121"/>
      <c r="K4" s="98" t="s">
        <v>103</v>
      </c>
      <c r="L4" s="99" t="s">
        <v>107</v>
      </c>
      <c r="M4" s="99" t="s">
        <v>108</v>
      </c>
      <c r="N4" s="99" t="s">
        <v>87</v>
      </c>
      <c r="O4" s="100" t="s">
        <v>84</v>
      </c>
      <c r="P4" s="121"/>
      <c r="Q4" s="98" t="s">
        <v>75</v>
      </c>
      <c r="R4" s="168" t="s">
        <v>104</v>
      </c>
      <c r="S4" s="99" t="s">
        <v>102</v>
      </c>
      <c r="T4" s="99" t="s">
        <v>118</v>
      </c>
      <c r="U4" s="99" t="s">
        <v>119</v>
      </c>
      <c r="V4" s="100" t="s">
        <v>84</v>
      </c>
      <c r="W4" s="131"/>
      <c r="X4" s="141"/>
    </row>
    <row r="5" spans="2:24" ht="12" customHeight="1" x14ac:dyDescent="0.2">
      <c r="B5" s="111"/>
      <c r="C5" s="110"/>
      <c r="D5" s="114"/>
      <c r="E5" s="114"/>
      <c r="F5" s="120" t="s">
        <v>77</v>
      </c>
      <c r="G5" s="114"/>
      <c r="H5" s="120" t="s">
        <v>77</v>
      </c>
      <c r="I5" s="120" t="s">
        <v>80</v>
      </c>
      <c r="J5" s="111"/>
      <c r="K5" s="101"/>
      <c r="L5" s="102"/>
      <c r="M5" s="102"/>
      <c r="N5" s="102"/>
      <c r="O5" s="103"/>
      <c r="P5" s="111"/>
      <c r="Q5" s="101"/>
      <c r="R5" s="102"/>
      <c r="S5" s="102"/>
      <c r="T5" s="102"/>
      <c r="U5" s="102"/>
      <c r="V5" s="103"/>
      <c r="W5" s="102"/>
      <c r="X5" s="132"/>
    </row>
    <row r="6" spans="2:24" ht="18.75" customHeight="1" x14ac:dyDescent="0.2">
      <c r="B6" s="111"/>
      <c r="C6" s="112" t="s">
        <v>126</v>
      </c>
      <c r="D6" s="114">
        <v>47</v>
      </c>
      <c r="E6" s="114">
        <v>47</v>
      </c>
      <c r="F6" s="117">
        <f>E6/D6*100</f>
        <v>100</v>
      </c>
      <c r="G6" s="114">
        <v>17</v>
      </c>
      <c r="H6" s="117">
        <f>G6/D6*100</f>
        <v>36.170212765957451</v>
      </c>
      <c r="I6" s="122">
        <v>0</v>
      </c>
      <c r="J6" s="111"/>
      <c r="K6" s="101">
        <v>24</v>
      </c>
      <c r="L6" s="102">
        <v>248045</v>
      </c>
      <c r="M6" s="102">
        <v>235639</v>
      </c>
      <c r="N6" s="102">
        <f>(E6*I6)*11</f>
        <v>0</v>
      </c>
      <c r="O6" s="103">
        <f>M6+N6</f>
        <v>235639</v>
      </c>
      <c r="P6" s="111"/>
      <c r="Q6" s="101">
        <f t="shared" ref="Q6:Q17" si="0">D6</f>
        <v>47</v>
      </c>
      <c r="R6" s="160">
        <f>Q6*50%</f>
        <v>23.5</v>
      </c>
      <c r="S6" s="160">
        <f>K6</f>
        <v>24</v>
      </c>
      <c r="T6" s="160">
        <f t="shared" ref="T6:T17" si="1">S6*$Q$40</f>
        <v>277319.85777777777</v>
      </c>
      <c r="U6" s="160">
        <v>0</v>
      </c>
      <c r="V6" s="161">
        <f>T6+U6</f>
        <v>277319.85777777777</v>
      </c>
      <c r="W6" s="102"/>
      <c r="X6" s="132"/>
    </row>
    <row r="7" spans="2:24" ht="18.75" customHeight="1" x14ac:dyDescent="0.2">
      <c r="B7" s="111"/>
      <c r="C7" s="112" t="s">
        <v>17</v>
      </c>
      <c r="D7" s="114">
        <v>49</v>
      </c>
      <c r="E7" s="114">
        <v>48</v>
      </c>
      <c r="F7" s="117">
        <f t="shared" ref="F7:F34" si="2">E7/D7*100</f>
        <v>97.959183673469383</v>
      </c>
      <c r="G7" s="114">
        <v>23</v>
      </c>
      <c r="H7" s="117">
        <f t="shared" ref="H7:H36" si="3">G7/D7*100</f>
        <v>46.938775510204081</v>
      </c>
      <c r="I7" s="122">
        <v>0</v>
      </c>
      <c r="J7" s="111"/>
      <c r="K7" s="101">
        <v>17</v>
      </c>
      <c r="L7" s="102">
        <v>203588</v>
      </c>
      <c r="M7" s="102">
        <v>193406</v>
      </c>
      <c r="N7" s="102">
        <f t="shared" ref="N7:N17" si="4">(E7*I7)*11</f>
        <v>0</v>
      </c>
      <c r="O7" s="103">
        <f t="shared" ref="O7:O17" si="5">M7+N7</f>
        <v>193406</v>
      </c>
      <c r="P7" s="111"/>
      <c r="Q7" s="101">
        <f t="shared" si="0"/>
        <v>49</v>
      </c>
      <c r="R7" s="160">
        <f t="shared" ref="R7:R17" si="6">Q7*50%</f>
        <v>24.5</v>
      </c>
      <c r="S7" s="160">
        <f t="shared" ref="S7:S17" si="7">K7</f>
        <v>17</v>
      </c>
      <c r="T7" s="160">
        <f t="shared" si="1"/>
        <v>196434.89925925925</v>
      </c>
      <c r="U7" s="160">
        <v>0</v>
      </c>
      <c r="V7" s="161">
        <f t="shared" ref="V7:V17" si="8">T7+U7</f>
        <v>196434.89925925925</v>
      </c>
      <c r="W7" s="102"/>
      <c r="X7" s="132"/>
    </row>
    <row r="8" spans="2:24" ht="18.75" customHeight="1" x14ac:dyDescent="0.2">
      <c r="B8" s="111"/>
      <c r="C8" s="112" t="s">
        <v>4</v>
      </c>
      <c r="D8" s="114">
        <v>83</v>
      </c>
      <c r="E8" s="114">
        <v>72</v>
      </c>
      <c r="F8" s="117">
        <f t="shared" si="2"/>
        <v>86.746987951807228</v>
      </c>
      <c r="G8" s="114">
        <v>27</v>
      </c>
      <c r="H8" s="117">
        <f>G8/D8*100</f>
        <v>32.53012048192771</v>
      </c>
      <c r="I8" s="122">
        <v>0</v>
      </c>
      <c r="J8" s="111"/>
      <c r="K8" s="101">
        <v>24</v>
      </c>
      <c r="L8" s="102">
        <v>339918</v>
      </c>
      <c r="M8" s="102">
        <v>322917</v>
      </c>
      <c r="N8" s="102">
        <f t="shared" si="4"/>
        <v>0</v>
      </c>
      <c r="O8" s="103">
        <f t="shared" si="5"/>
        <v>322917</v>
      </c>
      <c r="P8" s="111"/>
      <c r="Q8" s="101">
        <f t="shared" si="0"/>
        <v>83</v>
      </c>
      <c r="R8" s="160">
        <f t="shared" si="6"/>
        <v>41.5</v>
      </c>
      <c r="S8" s="160">
        <f t="shared" si="7"/>
        <v>24</v>
      </c>
      <c r="T8" s="160">
        <f t="shared" si="1"/>
        <v>277319.85777777777</v>
      </c>
      <c r="U8" s="160">
        <v>0</v>
      </c>
      <c r="V8" s="161">
        <f t="shared" si="8"/>
        <v>277319.85777777777</v>
      </c>
      <c r="W8" s="102"/>
      <c r="X8" s="132"/>
    </row>
    <row r="9" spans="2:24" ht="18.75" customHeight="1" x14ac:dyDescent="0.2">
      <c r="B9" s="111"/>
      <c r="C9" s="112" t="s">
        <v>125</v>
      </c>
      <c r="D9" s="114">
        <v>58</v>
      </c>
      <c r="E9" s="114">
        <v>30</v>
      </c>
      <c r="F9" s="117">
        <f t="shared" si="2"/>
        <v>51.724137931034484</v>
      </c>
      <c r="G9" s="114">
        <v>12</v>
      </c>
      <c r="H9" s="117">
        <f t="shared" si="3"/>
        <v>20.689655172413794</v>
      </c>
      <c r="I9" s="122">
        <v>50</v>
      </c>
      <c r="J9" s="111"/>
      <c r="K9" s="101">
        <v>13</v>
      </c>
      <c r="L9" s="102">
        <v>202752</v>
      </c>
      <c r="M9" s="102">
        <v>192899</v>
      </c>
      <c r="N9" s="102">
        <f>(E9*I9)*11</f>
        <v>16500</v>
      </c>
      <c r="O9" s="103">
        <f t="shared" si="5"/>
        <v>209399</v>
      </c>
      <c r="P9" s="111"/>
      <c r="Q9" s="101">
        <f t="shared" si="0"/>
        <v>58</v>
      </c>
      <c r="R9" s="160">
        <f t="shared" si="6"/>
        <v>29</v>
      </c>
      <c r="S9" s="160">
        <f t="shared" si="7"/>
        <v>13</v>
      </c>
      <c r="T9" s="160">
        <f t="shared" si="1"/>
        <v>150214.92296296294</v>
      </c>
      <c r="U9" s="160">
        <v>16500</v>
      </c>
      <c r="V9" s="161">
        <f t="shared" si="8"/>
        <v>166714.92296296294</v>
      </c>
      <c r="W9" s="102"/>
      <c r="X9" s="132"/>
    </row>
    <row r="10" spans="2:24" ht="18.75" customHeight="1" x14ac:dyDescent="0.2">
      <c r="B10" s="111"/>
      <c r="C10" s="112" t="s">
        <v>127</v>
      </c>
      <c r="D10" s="114">
        <v>49</v>
      </c>
      <c r="E10" s="114">
        <v>42</v>
      </c>
      <c r="F10" s="117">
        <f t="shared" si="2"/>
        <v>85.714285714285708</v>
      </c>
      <c r="G10" s="114">
        <v>16</v>
      </c>
      <c r="H10" s="117">
        <f t="shared" si="3"/>
        <v>32.653061224489797</v>
      </c>
      <c r="I10" s="169">
        <v>200</v>
      </c>
      <c r="J10" s="111"/>
      <c r="K10" s="101">
        <v>16</v>
      </c>
      <c r="L10" s="102">
        <v>202752</v>
      </c>
      <c r="M10" s="102">
        <v>192899</v>
      </c>
      <c r="N10" s="102">
        <f>(E10*I10)*2</f>
        <v>16800</v>
      </c>
      <c r="O10" s="103">
        <f t="shared" si="5"/>
        <v>209699</v>
      </c>
      <c r="P10" s="111"/>
      <c r="Q10" s="101">
        <f t="shared" si="0"/>
        <v>49</v>
      </c>
      <c r="R10" s="160">
        <f t="shared" si="6"/>
        <v>24.5</v>
      </c>
      <c r="S10" s="160">
        <f t="shared" si="7"/>
        <v>16</v>
      </c>
      <c r="T10" s="160">
        <f t="shared" si="1"/>
        <v>184879.90518518517</v>
      </c>
      <c r="U10" s="160">
        <v>16800</v>
      </c>
      <c r="V10" s="161">
        <f t="shared" si="8"/>
        <v>201679.90518518517</v>
      </c>
      <c r="W10" s="102"/>
      <c r="X10" s="132"/>
    </row>
    <row r="11" spans="2:24" ht="18.75" customHeight="1" x14ac:dyDescent="0.2">
      <c r="B11" s="111"/>
      <c r="C11" s="112" t="s">
        <v>128</v>
      </c>
      <c r="D11" s="114">
        <v>67</v>
      </c>
      <c r="E11" s="114">
        <v>34</v>
      </c>
      <c r="F11" s="117">
        <f t="shared" si="2"/>
        <v>50.746268656716417</v>
      </c>
      <c r="G11" s="114">
        <v>18</v>
      </c>
      <c r="H11" s="117">
        <f t="shared" si="3"/>
        <v>26.865671641791046</v>
      </c>
      <c r="I11" s="122">
        <v>0</v>
      </c>
      <c r="J11" s="111"/>
      <c r="K11" s="101">
        <v>20</v>
      </c>
      <c r="L11" s="102">
        <v>218781</v>
      </c>
      <c r="M11" s="102">
        <v>207839</v>
      </c>
      <c r="N11" s="102">
        <f t="shared" si="4"/>
        <v>0</v>
      </c>
      <c r="O11" s="103">
        <f t="shared" si="5"/>
        <v>207839</v>
      </c>
      <c r="P11" s="111"/>
      <c r="Q11" s="101">
        <f t="shared" si="0"/>
        <v>67</v>
      </c>
      <c r="R11" s="160">
        <f t="shared" si="6"/>
        <v>33.5</v>
      </c>
      <c r="S11" s="160">
        <f t="shared" si="7"/>
        <v>20</v>
      </c>
      <c r="T11" s="160">
        <f t="shared" si="1"/>
        <v>231099.88148148145</v>
      </c>
      <c r="U11" s="160">
        <v>0</v>
      </c>
      <c r="V11" s="161">
        <f t="shared" si="8"/>
        <v>231099.88148148145</v>
      </c>
      <c r="W11" s="102"/>
      <c r="X11" s="132"/>
    </row>
    <row r="12" spans="2:24" ht="18.75" customHeight="1" x14ac:dyDescent="0.2">
      <c r="B12" s="111"/>
      <c r="C12" s="112" t="s">
        <v>32</v>
      </c>
      <c r="D12" s="114">
        <v>174</v>
      </c>
      <c r="E12" s="114">
        <v>172</v>
      </c>
      <c r="F12" s="117">
        <f t="shared" si="2"/>
        <v>98.850574712643677</v>
      </c>
      <c r="G12" s="114">
        <v>37</v>
      </c>
      <c r="H12" s="117">
        <f t="shared" si="3"/>
        <v>21.264367816091951</v>
      </c>
      <c r="I12" s="122">
        <v>0</v>
      </c>
      <c r="J12" s="111"/>
      <c r="K12" s="101">
        <v>41</v>
      </c>
      <c r="L12" s="102">
        <v>483748</v>
      </c>
      <c r="M12" s="102">
        <v>459554</v>
      </c>
      <c r="N12" s="102">
        <f t="shared" si="4"/>
        <v>0</v>
      </c>
      <c r="O12" s="103">
        <f t="shared" si="5"/>
        <v>459554</v>
      </c>
      <c r="P12" s="111"/>
      <c r="Q12" s="101">
        <f t="shared" si="0"/>
        <v>174</v>
      </c>
      <c r="R12" s="160">
        <f t="shared" si="6"/>
        <v>87</v>
      </c>
      <c r="S12" s="160">
        <f t="shared" si="7"/>
        <v>41</v>
      </c>
      <c r="T12" s="160">
        <f t="shared" si="1"/>
        <v>473754.75703703699</v>
      </c>
      <c r="U12" s="160">
        <v>0</v>
      </c>
      <c r="V12" s="161">
        <f t="shared" si="8"/>
        <v>473754.75703703699</v>
      </c>
      <c r="W12" s="102"/>
      <c r="X12" s="132"/>
    </row>
    <row r="13" spans="2:24" ht="18.75" customHeight="1" x14ac:dyDescent="0.2">
      <c r="B13" s="111"/>
      <c r="C13" s="112" t="s">
        <v>129</v>
      </c>
      <c r="D13" s="114">
        <v>56</v>
      </c>
      <c r="E13" s="114">
        <v>39</v>
      </c>
      <c r="F13" s="117">
        <f t="shared" si="2"/>
        <v>69.642857142857139</v>
      </c>
      <c r="G13" s="114">
        <v>13</v>
      </c>
      <c r="H13" s="117">
        <f t="shared" si="3"/>
        <v>23.214285714285715</v>
      </c>
      <c r="I13" s="122">
        <v>80</v>
      </c>
      <c r="J13" s="111"/>
      <c r="K13" s="101">
        <v>17</v>
      </c>
      <c r="L13" s="102">
        <v>202752</v>
      </c>
      <c r="M13" s="102">
        <v>192899</v>
      </c>
      <c r="N13" s="102">
        <f t="shared" si="4"/>
        <v>34320</v>
      </c>
      <c r="O13" s="103">
        <f t="shared" si="5"/>
        <v>227219</v>
      </c>
      <c r="P13" s="111"/>
      <c r="Q13" s="101">
        <f t="shared" si="0"/>
        <v>56</v>
      </c>
      <c r="R13" s="160">
        <f t="shared" si="6"/>
        <v>28</v>
      </c>
      <c r="S13" s="160">
        <f t="shared" si="7"/>
        <v>17</v>
      </c>
      <c r="T13" s="160">
        <f t="shared" si="1"/>
        <v>196434.89925925925</v>
      </c>
      <c r="U13" s="160">
        <v>34320</v>
      </c>
      <c r="V13" s="161">
        <f t="shared" si="8"/>
        <v>230754.89925925925</v>
      </c>
      <c r="W13" s="102"/>
      <c r="X13" s="132"/>
    </row>
    <row r="14" spans="2:24" ht="18.75" customHeight="1" x14ac:dyDescent="0.2">
      <c r="B14" s="111"/>
      <c r="C14" s="112" t="s">
        <v>15</v>
      </c>
      <c r="D14" s="114">
        <v>50</v>
      </c>
      <c r="E14" s="114">
        <v>43</v>
      </c>
      <c r="F14" s="117">
        <f t="shared" si="2"/>
        <v>86</v>
      </c>
      <c r="G14" s="114">
        <v>30</v>
      </c>
      <c r="H14" s="117">
        <f t="shared" si="3"/>
        <v>60</v>
      </c>
      <c r="I14" s="122">
        <v>100</v>
      </c>
      <c r="J14" s="111"/>
      <c r="K14" s="101">
        <v>29</v>
      </c>
      <c r="L14" s="102">
        <v>356092</v>
      </c>
      <c r="M14" s="102">
        <v>338282</v>
      </c>
      <c r="N14" s="102">
        <f t="shared" si="4"/>
        <v>47300</v>
      </c>
      <c r="O14" s="103">
        <f t="shared" si="5"/>
        <v>385582</v>
      </c>
      <c r="P14" s="111"/>
      <c r="Q14" s="101">
        <f t="shared" si="0"/>
        <v>50</v>
      </c>
      <c r="R14" s="160">
        <f t="shared" si="6"/>
        <v>25</v>
      </c>
      <c r="S14" s="160">
        <f t="shared" si="7"/>
        <v>29</v>
      </c>
      <c r="T14" s="160">
        <f t="shared" si="1"/>
        <v>335094.82814814814</v>
      </c>
      <c r="U14" s="160">
        <v>47300</v>
      </c>
      <c r="V14" s="161">
        <f t="shared" si="8"/>
        <v>382394.82814814814</v>
      </c>
      <c r="W14" s="102"/>
      <c r="X14" s="132"/>
    </row>
    <row r="15" spans="2:24" ht="18.75" customHeight="1" x14ac:dyDescent="0.2">
      <c r="B15" s="111"/>
      <c r="C15" s="112" t="s">
        <v>124</v>
      </c>
      <c r="D15" s="114">
        <v>64</v>
      </c>
      <c r="E15" s="114">
        <v>61</v>
      </c>
      <c r="F15" s="117">
        <f t="shared" si="2"/>
        <v>95.3125</v>
      </c>
      <c r="G15" s="114">
        <v>24</v>
      </c>
      <c r="H15" s="117">
        <f t="shared" si="3"/>
        <v>37.5</v>
      </c>
      <c r="I15" s="169">
        <v>100</v>
      </c>
      <c r="J15" s="111"/>
      <c r="K15" s="101">
        <v>27</v>
      </c>
      <c r="L15" s="102">
        <v>246353</v>
      </c>
      <c r="M15" s="102">
        <v>234032</v>
      </c>
      <c r="N15" s="102">
        <f>(E15*I15)*2</f>
        <v>12200</v>
      </c>
      <c r="O15" s="103">
        <f t="shared" si="5"/>
        <v>246232</v>
      </c>
      <c r="P15" s="111"/>
      <c r="Q15" s="101">
        <f t="shared" si="0"/>
        <v>64</v>
      </c>
      <c r="R15" s="160">
        <f t="shared" si="6"/>
        <v>32</v>
      </c>
      <c r="S15" s="160">
        <f t="shared" si="7"/>
        <v>27</v>
      </c>
      <c r="T15" s="160">
        <f t="shared" si="1"/>
        <v>311984.83999999997</v>
      </c>
      <c r="U15" s="160">
        <v>12200</v>
      </c>
      <c r="V15" s="161">
        <f t="shared" si="8"/>
        <v>324184.83999999997</v>
      </c>
      <c r="W15" s="102"/>
      <c r="X15" s="132"/>
    </row>
    <row r="16" spans="2:24" ht="18.75" customHeight="1" x14ac:dyDescent="0.2">
      <c r="B16" s="111"/>
      <c r="C16" s="112" t="s">
        <v>121</v>
      </c>
      <c r="D16" s="114">
        <v>59</v>
      </c>
      <c r="E16" s="114">
        <v>54</v>
      </c>
      <c r="F16" s="117">
        <f t="shared" si="2"/>
        <v>91.525423728813564</v>
      </c>
      <c r="G16" s="114">
        <v>20</v>
      </c>
      <c r="H16" s="117">
        <f t="shared" si="3"/>
        <v>33.898305084745758</v>
      </c>
      <c r="I16" s="122">
        <v>0</v>
      </c>
      <c r="J16" s="111"/>
      <c r="K16" s="101">
        <v>17</v>
      </c>
      <c r="L16" s="102">
        <v>202752</v>
      </c>
      <c r="M16" s="102">
        <v>192899</v>
      </c>
      <c r="N16" s="102">
        <f t="shared" si="4"/>
        <v>0</v>
      </c>
      <c r="O16" s="103">
        <f t="shared" si="5"/>
        <v>192899</v>
      </c>
      <c r="P16" s="111"/>
      <c r="Q16" s="101">
        <f t="shared" si="0"/>
        <v>59</v>
      </c>
      <c r="R16" s="160">
        <f t="shared" si="6"/>
        <v>29.5</v>
      </c>
      <c r="S16" s="160">
        <f t="shared" si="7"/>
        <v>17</v>
      </c>
      <c r="T16" s="160">
        <f t="shared" si="1"/>
        <v>196434.89925925925</v>
      </c>
      <c r="U16" s="160">
        <v>0</v>
      </c>
      <c r="V16" s="161">
        <f t="shared" si="8"/>
        <v>196434.89925925925</v>
      </c>
      <c r="W16" s="102"/>
      <c r="X16" s="132"/>
    </row>
    <row r="17" spans="2:24" ht="18.75" customHeight="1" x14ac:dyDescent="0.2">
      <c r="B17" s="111"/>
      <c r="C17" s="112" t="s">
        <v>122</v>
      </c>
      <c r="D17" s="114">
        <v>61</v>
      </c>
      <c r="E17" s="114">
        <v>58</v>
      </c>
      <c r="F17" s="117">
        <f t="shared" si="2"/>
        <v>95.081967213114751</v>
      </c>
      <c r="G17" s="114">
        <v>26</v>
      </c>
      <c r="H17" s="117">
        <f t="shared" si="3"/>
        <v>42.622950819672127</v>
      </c>
      <c r="I17" s="122">
        <v>0</v>
      </c>
      <c r="J17" s="111"/>
      <c r="K17" s="101">
        <v>19</v>
      </c>
      <c r="L17" s="102">
        <v>235902</v>
      </c>
      <c r="M17" s="102">
        <v>224103</v>
      </c>
      <c r="N17" s="102">
        <f t="shared" si="4"/>
        <v>0</v>
      </c>
      <c r="O17" s="103">
        <f t="shared" si="5"/>
        <v>224103</v>
      </c>
      <c r="P17" s="111"/>
      <c r="Q17" s="101">
        <f t="shared" si="0"/>
        <v>61</v>
      </c>
      <c r="R17" s="160">
        <f t="shared" si="6"/>
        <v>30.5</v>
      </c>
      <c r="S17" s="160">
        <f t="shared" si="7"/>
        <v>19</v>
      </c>
      <c r="T17" s="160">
        <f t="shared" si="1"/>
        <v>219544.8874074074</v>
      </c>
      <c r="U17" s="160">
        <v>0</v>
      </c>
      <c r="V17" s="161">
        <f t="shared" si="8"/>
        <v>219544.8874074074</v>
      </c>
      <c r="W17" s="102"/>
      <c r="X17" s="132"/>
    </row>
    <row r="18" spans="2:24" ht="18.75" customHeight="1" x14ac:dyDescent="0.2">
      <c r="B18" s="111"/>
      <c r="C18" s="146" t="s">
        <v>106</v>
      </c>
      <c r="D18" s="114"/>
      <c r="E18" s="114"/>
      <c r="F18" s="117"/>
      <c r="G18" s="114"/>
      <c r="H18" s="117"/>
      <c r="I18" s="122"/>
      <c r="J18" s="111"/>
      <c r="K18" s="101"/>
      <c r="L18" s="102"/>
      <c r="M18" s="102"/>
      <c r="N18" s="102"/>
      <c r="O18" s="103"/>
      <c r="P18" s="111"/>
      <c r="Q18" s="101"/>
      <c r="R18" s="160"/>
      <c r="S18" s="160"/>
      <c r="T18" s="160"/>
      <c r="U18" s="160"/>
      <c r="V18" s="161"/>
      <c r="W18" s="102"/>
      <c r="X18" s="132"/>
    </row>
    <row r="19" spans="2:24" ht="18.75" customHeight="1" x14ac:dyDescent="0.2">
      <c r="B19" s="111"/>
      <c r="C19" s="146" t="s">
        <v>19</v>
      </c>
      <c r="D19" s="147">
        <v>213</v>
      </c>
      <c r="E19" s="114"/>
      <c r="F19" s="117"/>
      <c r="G19" s="114"/>
      <c r="H19" s="117"/>
      <c r="I19" s="122"/>
      <c r="J19" s="111"/>
      <c r="K19" s="101"/>
      <c r="L19" s="102"/>
      <c r="M19" s="102"/>
      <c r="N19" s="102"/>
      <c r="O19" s="103"/>
      <c r="P19" s="111"/>
      <c r="Q19" s="101"/>
      <c r="R19" s="160"/>
      <c r="S19" s="160"/>
      <c r="T19" s="160"/>
      <c r="U19" s="160"/>
      <c r="V19" s="161"/>
      <c r="W19" s="102"/>
      <c r="X19" s="132"/>
    </row>
    <row r="20" spans="2:24" ht="18.75" customHeight="1" x14ac:dyDescent="0.2">
      <c r="B20" s="111"/>
      <c r="C20" s="146" t="s">
        <v>95</v>
      </c>
      <c r="D20" s="147">
        <v>112</v>
      </c>
      <c r="E20" s="114"/>
      <c r="F20" s="117"/>
      <c r="G20" s="114"/>
      <c r="H20" s="117"/>
      <c r="I20" s="122"/>
      <c r="J20" s="111"/>
      <c r="K20" s="101"/>
      <c r="L20" s="102"/>
      <c r="M20" s="102"/>
      <c r="N20" s="102"/>
      <c r="O20" s="103"/>
      <c r="P20" s="111"/>
      <c r="Q20" s="101"/>
      <c r="R20" s="160"/>
      <c r="S20" s="160"/>
      <c r="T20" s="160"/>
      <c r="U20" s="160"/>
      <c r="V20" s="161"/>
      <c r="W20" s="102"/>
      <c r="X20" s="132"/>
    </row>
    <row r="21" spans="2:24" ht="18.75" customHeight="1" x14ac:dyDescent="0.2">
      <c r="B21" s="111"/>
      <c r="C21" s="146" t="s">
        <v>96</v>
      </c>
      <c r="D21" s="147">
        <v>40</v>
      </c>
      <c r="E21" s="114"/>
      <c r="F21" s="117"/>
      <c r="G21" s="114"/>
      <c r="H21" s="117"/>
      <c r="I21" s="122"/>
      <c r="J21" s="111"/>
      <c r="K21" s="101"/>
      <c r="L21" s="102"/>
      <c r="M21" s="102"/>
      <c r="N21" s="102"/>
      <c r="O21" s="103"/>
      <c r="P21" s="111"/>
      <c r="Q21" s="101"/>
      <c r="R21" s="160"/>
      <c r="S21" s="160"/>
      <c r="T21" s="160"/>
      <c r="U21" s="160"/>
      <c r="V21" s="161"/>
      <c r="W21" s="102"/>
      <c r="X21" s="132"/>
    </row>
    <row r="22" spans="2:24" ht="18.75" customHeight="1" x14ac:dyDescent="0.2">
      <c r="B22" s="111"/>
      <c r="C22" s="146"/>
      <c r="D22" s="147"/>
      <c r="E22" s="114"/>
      <c r="F22" s="117"/>
      <c r="G22" s="114"/>
      <c r="H22" s="117"/>
      <c r="I22" s="122"/>
      <c r="J22" s="111"/>
      <c r="K22" s="101"/>
      <c r="L22" s="102"/>
      <c r="M22" s="102"/>
      <c r="N22" s="102"/>
      <c r="O22" s="103"/>
      <c r="P22" s="111"/>
      <c r="Q22" s="101"/>
      <c r="R22" s="160"/>
      <c r="S22" s="160"/>
      <c r="T22" s="160"/>
      <c r="U22" s="160"/>
      <c r="V22" s="161"/>
      <c r="W22" s="102"/>
      <c r="X22" s="132"/>
    </row>
    <row r="23" spans="2:24" ht="18.75" customHeight="1" x14ac:dyDescent="0.2">
      <c r="B23" s="111"/>
      <c r="C23" s="146" t="s">
        <v>114</v>
      </c>
      <c r="D23" s="147"/>
      <c r="E23" s="114"/>
      <c r="F23" s="117"/>
      <c r="G23" s="114"/>
      <c r="H23" s="117"/>
      <c r="I23" s="122"/>
      <c r="J23" s="111"/>
      <c r="K23" s="101"/>
      <c r="L23" s="102"/>
      <c r="M23" s="102"/>
      <c r="N23" s="102"/>
      <c r="O23" s="103"/>
      <c r="P23" s="111"/>
      <c r="Q23" s="101"/>
      <c r="R23" s="160"/>
      <c r="S23" s="160"/>
      <c r="T23" s="160"/>
      <c r="U23" s="160"/>
      <c r="V23" s="161"/>
      <c r="W23" s="102"/>
      <c r="X23" s="132"/>
    </row>
    <row r="24" spans="2:24" ht="18.75" customHeight="1" x14ac:dyDescent="0.2">
      <c r="B24" s="111"/>
      <c r="C24" s="112" t="s">
        <v>5</v>
      </c>
      <c r="D24" s="114">
        <v>143</v>
      </c>
      <c r="E24" s="114">
        <v>119</v>
      </c>
      <c r="F24" s="117">
        <f t="shared" ref="F24:F26" si="9">E24/D24*100</f>
        <v>83.216783216783213</v>
      </c>
      <c r="G24" s="114">
        <v>27</v>
      </c>
      <c r="H24" s="117">
        <f t="shared" ref="H24:H26" si="10">G24/D24*100</f>
        <v>18.88111888111888</v>
      </c>
      <c r="I24" s="122">
        <v>0</v>
      </c>
      <c r="J24" s="111"/>
      <c r="K24" s="101">
        <v>26</v>
      </c>
      <c r="L24" s="102">
        <v>237893</v>
      </c>
      <c r="M24" s="102">
        <v>225994</v>
      </c>
      <c r="N24" s="102">
        <f t="shared" ref="N24:N26" si="11">(E24*I24)*11</f>
        <v>0</v>
      </c>
      <c r="O24" s="103">
        <f t="shared" ref="O24:O26" si="12">M24+N24</f>
        <v>225994</v>
      </c>
      <c r="P24" s="111"/>
      <c r="Q24" s="101"/>
      <c r="R24" s="160"/>
      <c r="S24" s="160"/>
      <c r="T24" s="160"/>
      <c r="U24" s="160"/>
      <c r="V24" s="161"/>
      <c r="W24" s="102"/>
      <c r="X24" s="132"/>
    </row>
    <row r="25" spans="2:24" ht="18.75" customHeight="1" x14ac:dyDescent="0.2">
      <c r="B25" s="111"/>
      <c r="C25" s="112" t="s">
        <v>13</v>
      </c>
      <c r="D25" s="114">
        <v>81</v>
      </c>
      <c r="E25" s="114">
        <v>31</v>
      </c>
      <c r="F25" s="117">
        <f t="shared" si="9"/>
        <v>38.271604938271601</v>
      </c>
      <c r="G25" s="114">
        <v>13</v>
      </c>
      <c r="H25" s="117">
        <f t="shared" si="10"/>
        <v>16.049382716049383</v>
      </c>
      <c r="I25" s="122">
        <v>200</v>
      </c>
      <c r="J25" s="111"/>
      <c r="K25" s="101">
        <v>16</v>
      </c>
      <c r="L25" s="102">
        <v>202752</v>
      </c>
      <c r="M25" s="102">
        <v>192899</v>
      </c>
      <c r="N25" s="102">
        <f>(E25*I25)*11</f>
        <v>68200</v>
      </c>
      <c r="O25" s="103">
        <f t="shared" si="12"/>
        <v>261099</v>
      </c>
      <c r="P25" s="111"/>
      <c r="Q25" s="101"/>
      <c r="R25" s="160"/>
      <c r="S25" s="160"/>
      <c r="T25" s="160"/>
      <c r="U25" s="160"/>
      <c r="V25" s="161"/>
      <c r="W25" s="102"/>
      <c r="X25" s="132"/>
    </row>
    <row r="26" spans="2:24" ht="18.75" customHeight="1" x14ac:dyDescent="0.2">
      <c r="B26" s="111"/>
      <c r="C26" s="112" t="s">
        <v>20</v>
      </c>
      <c r="D26" s="114">
        <v>34</v>
      </c>
      <c r="E26" s="114">
        <v>32</v>
      </c>
      <c r="F26" s="117">
        <f t="shared" si="9"/>
        <v>94.117647058823522</v>
      </c>
      <c r="G26" s="114">
        <v>21</v>
      </c>
      <c r="H26" s="117">
        <f t="shared" si="10"/>
        <v>61.764705882352942</v>
      </c>
      <c r="I26" s="122">
        <v>0</v>
      </c>
      <c r="J26" s="111"/>
      <c r="K26" s="101">
        <v>10</v>
      </c>
      <c r="L26" s="102">
        <v>202752</v>
      </c>
      <c r="M26" s="102">
        <v>192899</v>
      </c>
      <c r="N26" s="102">
        <f t="shared" si="11"/>
        <v>0</v>
      </c>
      <c r="O26" s="103">
        <f t="shared" si="12"/>
        <v>192899</v>
      </c>
      <c r="P26" s="111"/>
      <c r="Q26" s="101"/>
      <c r="R26" s="160"/>
      <c r="S26" s="160"/>
      <c r="T26" s="160"/>
      <c r="U26" s="160"/>
      <c r="V26" s="161"/>
      <c r="W26" s="102"/>
      <c r="X26" s="132"/>
    </row>
    <row r="27" spans="2:24" ht="18.75" customHeight="1" x14ac:dyDescent="0.2">
      <c r="B27" s="111"/>
      <c r="C27" s="146"/>
      <c r="D27" s="147"/>
      <c r="E27" s="114"/>
      <c r="F27" s="117"/>
      <c r="G27" s="114"/>
      <c r="H27" s="117"/>
      <c r="I27" s="122"/>
      <c r="J27" s="111"/>
      <c r="K27" s="101"/>
      <c r="L27" s="102"/>
      <c r="M27" s="102"/>
      <c r="N27" s="102"/>
      <c r="O27" s="103"/>
      <c r="P27" s="111"/>
      <c r="Q27" s="101"/>
      <c r="R27" s="160"/>
      <c r="S27" s="160"/>
      <c r="T27" s="160"/>
      <c r="U27" s="160"/>
      <c r="V27" s="161"/>
      <c r="W27" s="102"/>
      <c r="X27" s="132"/>
    </row>
    <row r="28" spans="2:24" ht="18.75" customHeight="1" x14ac:dyDescent="0.2">
      <c r="B28" s="111"/>
      <c r="C28" s="146"/>
      <c r="D28" s="147"/>
      <c r="E28" s="114"/>
      <c r="F28" s="117"/>
      <c r="G28" s="114"/>
      <c r="H28" s="117"/>
      <c r="I28" s="122"/>
      <c r="J28" s="111"/>
      <c r="K28" s="101"/>
      <c r="L28" s="102"/>
      <c r="M28" s="102"/>
      <c r="N28" s="102"/>
      <c r="O28" s="103"/>
      <c r="P28" s="111"/>
      <c r="Q28" s="101"/>
      <c r="R28" s="160"/>
      <c r="S28" s="160"/>
      <c r="T28" s="160"/>
      <c r="U28" s="160"/>
      <c r="V28" s="161"/>
      <c r="W28" s="102"/>
      <c r="X28" s="132"/>
    </row>
    <row r="29" spans="2:24" ht="18.75" customHeight="1" x14ac:dyDescent="0.2">
      <c r="B29" s="111"/>
      <c r="C29" s="146"/>
      <c r="D29" s="147"/>
      <c r="E29" s="114"/>
      <c r="F29" s="117"/>
      <c r="G29" s="114"/>
      <c r="H29" s="117"/>
      <c r="I29" s="122"/>
      <c r="J29" s="111"/>
      <c r="K29" s="101"/>
      <c r="L29" s="102"/>
      <c r="M29" s="102"/>
      <c r="N29" s="102"/>
      <c r="O29" s="103"/>
      <c r="P29" s="111"/>
      <c r="Q29" s="101"/>
      <c r="R29" s="160"/>
      <c r="S29" s="160"/>
      <c r="T29" s="160"/>
      <c r="U29" s="160"/>
      <c r="V29" s="161"/>
      <c r="W29" s="102"/>
      <c r="X29" s="132"/>
    </row>
    <row r="30" spans="2:24" ht="18.75" customHeight="1" x14ac:dyDescent="0.2">
      <c r="B30" s="111"/>
      <c r="C30" s="146"/>
      <c r="D30" s="147"/>
      <c r="E30" s="114"/>
      <c r="F30" s="117"/>
      <c r="G30" s="114"/>
      <c r="H30" s="117"/>
      <c r="I30" s="122"/>
      <c r="J30" s="111"/>
      <c r="K30" s="101"/>
      <c r="L30" s="102"/>
      <c r="M30" s="102"/>
      <c r="N30" s="102"/>
      <c r="O30" s="103"/>
      <c r="P30" s="111"/>
      <c r="Q30" s="101"/>
      <c r="R30" s="160"/>
      <c r="S30" s="160"/>
      <c r="T30" s="160"/>
      <c r="U30" s="160"/>
      <c r="V30" s="161"/>
      <c r="W30" s="102"/>
      <c r="X30" s="132"/>
    </row>
    <row r="31" spans="2:24" ht="11.25" customHeight="1" x14ac:dyDescent="0.2">
      <c r="B31" s="111"/>
      <c r="C31" s="112"/>
      <c r="D31" s="114"/>
      <c r="E31" s="114"/>
      <c r="F31" s="117"/>
      <c r="G31" s="114"/>
      <c r="H31" s="117"/>
      <c r="I31" s="122"/>
      <c r="J31" s="111"/>
      <c r="K31" s="101"/>
      <c r="L31" s="102"/>
      <c r="M31" s="102"/>
      <c r="N31" s="102"/>
      <c r="O31" s="103"/>
      <c r="P31" s="111"/>
      <c r="Q31" s="101"/>
      <c r="R31" s="160"/>
      <c r="S31" s="160"/>
      <c r="T31" s="160"/>
      <c r="U31" s="160"/>
      <c r="V31" s="161"/>
      <c r="W31" s="102"/>
      <c r="X31" s="132"/>
    </row>
    <row r="32" spans="2:24" ht="18.75" customHeight="1" x14ac:dyDescent="0.2">
      <c r="B32" s="173" t="s">
        <v>35</v>
      </c>
      <c r="C32" s="174"/>
      <c r="D32" s="115">
        <f>SUM(D6:D31)</f>
        <v>1440</v>
      </c>
      <c r="E32" s="115">
        <f>SUM(E6:E17)</f>
        <v>700</v>
      </c>
      <c r="F32" s="118">
        <f>E32/D32*100</f>
        <v>48.611111111111107</v>
      </c>
      <c r="G32" s="115">
        <f>SUM(G6:G17)</f>
        <v>263</v>
      </c>
      <c r="H32" s="118">
        <f t="shared" si="3"/>
        <v>18.263888888888889</v>
      </c>
      <c r="I32" s="127"/>
      <c r="J32" s="111"/>
      <c r="K32" s="126">
        <f>SUM(K6:K31)</f>
        <v>316</v>
      </c>
      <c r="L32" s="137">
        <f>SUM(L6:L31)</f>
        <v>3786832</v>
      </c>
      <c r="M32" s="137">
        <f>SUM(M6:M31)</f>
        <v>3599160</v>
      </c>
      <c r="N32" s="137">
        <f>SUM(N6:N31)</f>
        <v>195320</v>
      </c>
      <c r="O32" s="128">
        <f>SUM(O6:O31)</f>
        <v>3794480</v>
      </c>
      <c r="P32" s="111"/>
      <c r="Q32" s="126">
        <f t="shared" ref="Q32:V32" si="13">SUM(Q6:Q31)</f>
        <v>817</v>
      </c>
      <c r="R32" s="162">
        <f t="shared" si="13"/>
        <v>408.5</v>
      </c>
      <c r="S32" s="162">
        <f t="shared" si="13"/>
        <v>264</v>
      </c>
      <c r="T32" s="162">
        <f t="shared" si="13"/>
        <v>3050518.4355555559</v>
      </c>
      <c r="U32" s="162">
        <f t="shared" si="13"/>
        <v>127120</v>
      </c>
      <c r="V32" s="163">
        <f t="shared" si="13"/>
        <v>3177638.4355555559</v>
      </c>
      <c r="W32" s="132"/>
      <c r="X32" s="132"/>
    </row>
    <row r="33" spans="2:24" ht="11.25" customHeight="1" x14ac:dyDescent="0.2">
      <c r="B33" s="111"/>
      <c r="C33" s="110"/>
      <c r="D33" s="114"/>
      <c r="E33" s="114"/>
      <c r="F33" s="117"/>
      <c r="G33" s="114"/>
      <c r="H33" s="117"/>
      <c r="I33" s="122"/>
      <c r="J33" s="111"/>
      <c r="K33" s="101"/>
      <c r="L33" s="102"/>
      <c r="M33" s="102"/>
      <c r="N33" s="102"/>
      <c r="O33" s="103"/>
      <c r="P33" s="111"/>
      <c r="Q33" s="101"/>
      <c r="R33" s="160"/>
      <c r="S33" s="160"/>
      <c r="T33" s="160"/>
      <c r="U33" s="160"/>
      <c r="V33" s="161"/>
      <c r="W33" s="102"/>
      <c r="X33" s="132"/>
    </row>
    <row r="34" spans="2:24" ht="18.75" customHeight="1" x14ac:dyDescent="0.2">
      <c r="B34" s="111"/>
      <c r="C34" s="112" t="s">
        <v>78</v>
      </c>
      <c r="D34" s="114">
        <v>172</v>
      </c>
      <c r="E34" s="114">
        <v>159</v>
      </c>
      <c r="F34" s="117">
        <f t="shared" si="2"/>
        <v>92.441860465116278</v>
      </c>
      <c r="G34" s="114">
        <v>140</v>
      </c>
      <c r="H34" s="117">
        <f t="shared" si="3"/>
        <v>81.395348837209298</v>
      </c>
      <c r="I34" s="122">
        <v>515</v>
      </c>
      <c r="J34" s="111"/>
      <c r="K34" s="101">
        <v>141</v>
      </c>
      <c r="L34" s="102">
        <v>1685951</v>
      </c>
      <c r="M34" s="102">
        <v>1601629</v>
      </c>
      <c r="N34" s="102">
        <f>$E$34*$I$34*11</f>
        <v>900735</v>
      </c>
      <c r="O34" s="103">
        <f>L34+N34</f>
        <v>2586686</v>
      </c>
      <c r="P34" s="111"/>
      <c r="Q34" s="101">
        <f>D34</f>
        <v>172</v>
      </c>
      <c r="R34" s="160">
        <f>E34</f>
        <v>159</v>
      </c>
      <c r="S34" s="160">
        <f t="shared" ref="S34" si="14">K34</f>
        <v>141</v>
      </c>
      <c r="T34" s="160">
        <f>S34*$Q$40</f>
        <v>1629254.1644444442</v>
      </c>
      <c r="U34" s="160">
        <f>$E$34*$I$34*11</f>
        <v>900735</v>
      </c>
      <c r="V34" s="161">
        <f t="shared" ref="V34" si="15">T34+U34</f>
        <v>2529989.1644444442</v>
      </c>
      <c r="W34" s="102"/>
      <c r="X34" s="132"/>
    </row>
    <row r="35" spans="2:24" ht="11.25" customHeight="1" x14ac:dyDescent="0.2">
      <c r="B35" s="111"/>
      <c r="C35" s="112"/>
      <c r="D35" s="114"/>
      <c r="E35" s="114"/>
      <c r="F35" s="117"/>
      <c r="G35" s="114"/>
      <c r="H35" s="117"/>
      <c r="I35" s="117"/>
      <c r="J35" s="111"/>
      <c r="K35" s="101"/>
      <c r="L35" s="102"/>
      <c r="M35" s="102"/>
      <c r="N35" s="102"/>
      <c r="O35" s="103"/>
      <c r="P35" s="111"/>
      <c r="Q35" s="101"/>
      <c r="R35" s="160"/>
      <c r="S35" s="160"/>
      <c r="T35" s="160"/>
      <c r="U35" s="160"/>
      <c r="V35" s="161"/>
      <c r="W35" s="102"/>
      <c r="X35" s="132"/>
    </row>
    <row r="36" spans="2:24" ht="18.75" customHeight="1" thickBot="1" x14ac:dyDescent="0.25">
      <c r="B36" s="175" t="s">
        <v>76</v>
      </c>
      <c r="C36" s="176"/>
      <c r="D36" s="116">
        <f>SUM(D32:D35)</f>
        <v>1612</v>
      </c>
      <c r="E36" s="116">
        <f t="shared" ref="E36:G36" si="16">SUM(E32:E35)</f>
        <v>859</v>
      </c>
      <c r="F36" s="119">
        <f>E36/D36*100</f>
        <v>53.287841191066995</v>
      </c>
      <c r="G36" s="116">
        <f t="shared" si="16"/>
        <v>403</v>
      </c>
      <c r="H36" s="119">
        <f t="shared" si="3"/>
        <v>25</v>
      </c>
      <c r="I36" s="134"/>
      <c r="J36" s="111"/>
      <c r="K36" s="124">
        <f>SUM(K32:K35)</f>
        <v>457</v>
      </c>
      <c r="L36" s="125">
        <f>SUM(L32:L35)</f>
        <v>5472783</v>
      </c>
      <c r="M36" s="125">
        <f>SUM(M32:M35)</f>
        <v>5200789</v>
      </c>
      <c r="N36" s="125">
        <f>SUM(N32:N35)</f>
        <v>1096055</v>
      </c>
      <c r="O36" s="129">
        <f>SUM(O32:O35)</f>
        <v>6381166</v>
      </c>
      <c r="P36" s="111"/>
      <c r="Q36" s="124">
        <f>SUM(Q32:Q35)</f>
        <v>989</v>
      </c>
      <c r="R36" s="164">
        <f t="shared" ref="R36" si="17">SUM(R32:R35)</f>
        <v>567.5</v>
      </c>
      <c r="S36" s="164">
        <f>SUM(S32:S35)</f>
        <v>405</v>
      </c>
      <c r="T36" s="164">
        <f>SUM(T32:T35)</f>
        <v>4679772.5999999996</v>
      </c>
      <c r="U36" s="164">
        <f>SUM(U32:U35)</f>
        <v>1027855</v>
      </c>
      <c r="V36" s="165">
        <f>SUM(V32:V35)</f>
        <v>5707627.5999999996</v>
      </c>
      <c r="W36" s="132"/>
      <c r="X36" s="132"/>
    </row>
    <row r="37" spans="2:24" ht="11.25" customHeight="1" thickTop="1" x14ac:dyDescent="0.2">
      <c r="B37" s="138"/>
      <c r="C37" s="138"/>
      <c r="D37" s="114"/>
      <c r="E37" s="114"/>
      <c r="F37" s="117"/>
      <c r="G37" s="114"/>
      <c r="H37" s="117"/>
      <c r="I37" s="117"/>
      <c r="J37" s="110"/>
      <c r="K37" s="102"/>
      <c r="L37" s="102"/>
      <c r="M37" s="102"/>
      <c r="N37" s="102"/>
      <c r="O37" s="132"/>
      <c r="Q37" s="102"/>
      <c r="R37" s="149"/>
      <c r="S37" s="149"/>
      <c r="T37" s="149"/>
      <c r="U37" s="149"/>
      <c r="V37" s="150"/>
      <c r="W37" s="132"/>
      <c r="X37" s="132"/>
    </row>
    <row r="38" spans="2:24" x14ac:dyDescent="0.2">
      <c r="C38" s="106"/>
      <c r="D38" s="106"/>
      <c r="E38" s="106"/>
      <c r="F38" s="106"/>
      <c r="G38" s="106"/>
      <c r="H38" s="106"/>
      <c r="I38" s="106"/>
      <c r="K38" s="106"/>
      <c r="L38" s="166" t="s">
        <v>120</v>
      </c>
      <c r="M38" s="104"/>
      <c r="N38" s="104"/>
      <c r="O38" s="104"/>
      <c r="Q38" s="105"/>
      <c r="R38" s="166" t="s">
        <v>120</v>
      </c>
      <c r="S38" s="151"/>
      <c r="T38" s="151"/>
      <c r="U38" s="152"/>
      <c r="V38" s="152"/>
      <c r="W38" s="104"/>
      <c r="X38" s="142"/>
    </row>
    <row r="39" spans="2:24" x14ac:dyDescent="0.2">
      <c r="C39" s="106"/>
      <c r="D39" s="106"/>
      <c r="E39" s="106"/>
      <c r="F39" s="106"/>
      <c r="G39" s="106"/>
      <c r="H39" s="106"/>
      <c r="I39" s="106"/>
      <c r="K39" s="106">
        <f>L9</f>
        <v>202752</v>
      </c>
      <c r="L39" s="104" t="s">
        <v>89</v>
      </c>
      <c r="M39" s="104"/>
      <c r="N39" s="104"/>
      <c r="O39" s="104"/>
      <c r="Q39" s="105">
        <f>Q40*12</f>
        <v>138659.92888888888</v>
      </c>
      <c r="R39" s="166" t="s">
        <v>91</v>
      </c>
      <c r="S39" s="151"/>
      <c r="T39" s="151"/>
      <c r="U39" s="152"/>
      <c r="V39" s="152"/>
      <c r="W39" s="104"/>
      <c r="X39" s="142"/>
    </row>
    <row r="40" spans="2:24" x14ac:dyDescent="0.2">
      <c r="C40" s="106"/>
      <c r="D40" s="106"/>
      <c r="E40" s="106"/>
      <c r="F40" s="106"/>
      <c r="G40" s="106"/>
      <c r="H40" s="106"/>
      <c r="I40" s="106"/>
      <c r="K40" s="105">
        <v>11944</v>
      </c>
      <c r="L40" s="177" t="s">
        <v>74</v>
      </c>
      <c r="M40" s="177"/>
      <c r="N40" s="177"/>
      <c r="O40" s="177"/>
      <c r="Q40" s="105">
        <f>Q42/Q41</f>
        <v>11554.994074074073</v>
      </c>
      <c r="R40" s="167" t="s">
        <v>74</v>
      </c>
      <c r="S40" s="153"/>
      <c r="T40" s="153"/>
      <c r="U40" s="152"/>
      <c r="V40" s="152"/>
      <c r="W40" s="170"/>
      <c r="X40" s="143"/>
    </row>
    <row r="41" spans="2:24" x14ac:dyDescent="0.2">
      <c r="C41" s="106"/>
      <c r="D41" s="106"/>
      <c r="E41" s="106"/>
      <c r="F41" s="106"/>
      <c r="G41" s="106"/>
      <c r="H41" s="106"/>
      <c r="I41" s="106"/>
      <c r="K41" s="105">
        <f>K36</f>
        <v>457</v>
      </c>
      <c r="L41" s="177" t="s">
        <v>90</v>
      </c>
      <c r="M41" s="177"/>
      <c r="N41" s="177"/>
      <c r="O41" s="177"/>
      <c r="Q41" s="105">
        <f>S36</f>
        <v>405</v>
      </c>
      <c r="R41" s="167" t="s">
        <v>90</v>
      </c>
      <c r="S41" s="153"/>
      <c r="T41" s="153"/>
      <c r="U41" s="152"/>
      <c r="V41" s="152"/>
      <c r="W41" s="170"/>
      <c r="X41" s="143"/>
    </row>
    <row r="42" spans="2:24" x14ac:dyDescent="0.2">
      <c r="C42" s="106"/>
      <c r="D42" s="106"/>
      <c r="E42" s="106"/>
      <c r="F42" s="106"/>
      <c r="G42" s="106"/>
      <c r="H42" s="106"/>
      <c r="I42" s="106"/>
      <c r="K42" s="105">
        <f>$D$55</f>
        <v>5476788.5999999996</v>
      </c>
      <c r="L42" s="177" t="s">
        <v>100</v>
      </c>
      <c r="M42" s="177"/>
      <c r="N42" s="177"/>
      <c r="O42" s="177"/>
      <c r="Q42" s="105">
        <f>D64</f>
        <v>4679772.5999999996</v>
      </c>
      <c r="R42" s="167" t="s">
        <v>115</v>
      </c>
      <c r="S42" s="153"/>
      <c r="T42" s="153"/>
      <c r="U42" s="152"/>
      <c r="V42" s="152"/>
      <c r="W42" s="170"/>
      <c r="X42" s="143"/>
    </row>
    <row r="43" spans="2:24" x14ac:dyDescent="0.2">
      <c r="K43" s="156">
        <f>D58</f>
        <v>5200788.5999999996</v>
      </c>
      <c r="L43" s="172" t="s">
        <v>97</v>
      </c>
      <c r="M43" s="172"/>
      <c r="N43" s="172"/>
      <c r="O43" s="172"/>
      <c r="Q43" s="106"/>
      <c r="R43" s="166" t="s">
        <v>105</v>
      </c>
      <c r="S43" s="153"/>
      <c r="T43" s="153"/>
      <c r="U43" s="152"/>
      <c r="V43" s="152"/>
      <c r="W43" s="170"/>
      <c r="X43" s="143"/>
    </row>
    <row r="44" spans="2:24" x14ac:dyDescent="0.2">
      <c r="K44" s="156">
        <f>K45*17</f>
        <v>192899</v>
      </c>
      <c r="L44" s="157" t="s">
        <v>89</v>
      </c>
      <c r="M44" s="157"/>
      <c r="N44" s="157"/>
      <c r="O44" s="157"/>
      <c r="Q44" s="106"/>
      <c r="R44" s="154"/>
      <c r="S44" s="154"/>
      <c r="T44" s="153"/>
      <c r="U44" s="153"/>
      <c r="V44" s="153"/>
      <c r="W44" s="170"/>
      <c r="X44" s="143"/>
    </row>
    <row r="45" spans="2:24" x14ac:dyDescent="0.2">
      <c r="K45" s="158">
        <f>11944-597</f>
        <v>11347</v>
      </c>
      <c r="L45" s="172" t="s">
        <v>74</v>
      </c>
      <c r="M45" s="172"/>
      <c r="N45" s="172"/>
      <c r="O45" s="172"/>
      <c r="Q45" s="106"/>
      <c r="R45" s="154"/>
      <c r="S45" s="154"/>
      <c r="T45" s="153"/>
      <c r="U45" s="153"/>
      <c r="V45" s="153"/>
      <c r="W45" s="170"/>
      <c r="X45" s="143"/>
    </row>
    <row r="46" spans="2:24" hidden="1" x14ac:dyDescent="0.2">
      <c r="C46" s="108" t="s">
        <v>40</v>
      </c>
      <c r="D46" s="1">
        <f>11311*1.0131*1.0095*1.0213*1.011</f>
        <v>11944.394215846884</v>
      </c>
      <c r="K46" s="104"/>
      <c r="L46" s="104"/>
      <c r="M46" s="104"/>
      <c r="N46" s="104"/>
      <c r="O46" s="104"/>
      <c r="Q46" s="104"/>
      <c r="R46" s="151"/>
      <c r="S46" s="151"/>
      <c r="T46" s="151"/>
      <c r="U46" s="151"/>
      <c r="V46" s="151"/>
      <c r="W46" s="104"/>
      <c r="X46" s="142"/>
    </row>
    <row r="47" spans="2:24" hidden="1" x14ac:dyDescent="0.2">
      <c r="D47" s="1"/>
      <c r="K47" s="104"/>
      <c r="L47" s="104"/>
      <c r="M47" s="104"/>
      <c r="N47" s="104"/>
      <c r="O47" s="104"/>
      <c r="Q47" s="104"/>
      <c r="R47" s="104"/>
      <c r="S47" s="104"/>
      <c r="T47" s="104"/>
      <c r="U47" s="104"/>
      <c r="V47" s="104"/>
      <c r="W47" s="104"/>
      <c r="X47" s="142"/>
    </row>
    <row r="48" spans="2:24" hidden="1" x14ac:dyDescent="0.2">
      <c r="C48" s="108" t="s">
        <v>41</v>
      </c>
      <c r="D48" s="1">
        <f>192000*1.0131*1.0095*1.0213*1.011</f>
        <v>202751.63022213793</v>
      </c>
      <c r="E48" s="133" t="s">
        <v>85</v>
      </c>
      <c r="K48" s="104"/>
      <c r="L48" s="104"/>
      <c r="M48" s="104"/>
      <c r="N48" s="104"/>
      <c r="O48" s="104"/>
      <c r="Q48" s="104"/>
      <c r="R48" s="104"/>
      <c r="S48" s="104"/>
      <c r="T48" s="104"/>
      <c r="U48" s="104"/>
      <c r="V48" s="104"/>
      <c r="W48" s="104"/>
      <c r="X48" s="142"/>
    </row>
    <row r="49" spans="3:24" hidden="1" x14ac:dyDescent="0.2">
      <c r="D49" s="1"/>
      <c r="K49" s="104"/>
      <c r="L49" s="104"/>
      <c r="M49" s="104"/>
      <c r="N49" s="104"/>
      <c r="O49" s="104"/>
      <c r="Q49" s="104"/>
      <c r="R49" s="104"/>
      <c r="S49" s="104"/>
      <c r="T49" s="104"/>
      <c r="U49" s="104"/>
      <c r="V49" s="104"/>
      <c r="W49" s="104"/>
      <c r="X49" s="142"/>
    </row>
    <row r="50" spans="3:24" hidden="1" x14ac:dyDescent="0.2">
      <c r="C50" s="123" t="s">
        <v>48</v>
      </c>
      <c r="D50" s="1"/>
      <c r="K50" s="104"/>
      <c r="L50" s="104"/>
      <c r="M50" s="104"/>
      <c r="N50" s="104"/>
      <c r="O50" s="104"/>
      <c r="Q50" s="104"/>
      <c r="R50" s="104"/>
      <c r="S50" s="104"/>
      <c r="T50" s="104"/>
      <c r="U50" s="104"/>
      <c r="V50" s="104"/>
      <c r="W50" s="104"/>
      <c r="X50" s="142"/>
    </row>
    <row r="51" spans="3:24" hidden="1" x14ac:dyDescent="0.2">
      <c r="C51" s="71" t="s">
        <v>1</v>
      </c>
      <c r="D51" s="1">
        <f>6072299+263209</f>
        <v>6335508</v>
      </c>
    </row>
    <row r="52" spans="3:24" hidden="1" x14ac:dyDescent="0.2">
      <c r="C52" s="71" t="s">
        <v>81</v>
      </c>
      <c r="D52" s="1">
        <v>0</v>
      </c>
    </row>
    <row r="53" spans="3:24" hidden="1" x14ac:dyDescent="0.2">
      <c r="C53" s="71" t="s">
        <v>82</v>
      </c>
      <c r="D53" s="1">
        <v>-631701</v>
      </c>
    </row>
    <row r="54" spans="3:24" hidden="1" x14ac:dyDescent="0.2">
      <c r="C54" s="145" t="s">
        <v>94</v>
      </c>
      <c r="D54" s="1">
        <f>(-96261/5*12)+4008</f>
        <v>-227018.40000000002</v>
      </c>
    </row>
    <row r="55" spans="3:24" ht="13.5" hidden="1" thickBot="1" x14ac:dyDescent="0.25">
      <c r="C55" s="108" t="s">
        <v>83</v>
      </c>
      <c r="D55" s="2">
        <f>SUM(D51:D54)</f>
        <v>5476788.5999999996</v>
      </c>
    </row>
    <row r="56" spans="3:24" ht="13.5" hidden="1" thickTop="1" x14ac:dyDescent="0.2">
      <c r="C56" s="108"/>
      <c r="D56" s="148"/>
    </row>
    <row r="57" spans="3:24" hidden="1" x14ac:dyDescent="0.2">
      <c r="C57" s="135" t="s">
        <v>98</v>
      </c>
      <c r="D57" s="1">
        <v>-276000</v>
      </c>
    </row>
    <row r="58" spans="3:24" hidden="1" x14ac:dyDescent="0.2">
      <c r="C58" s="108" t="s">
        <v>99</v>
      </c>
      <c r="D58" s="136">
        <f>SUM(D55:D57)</f>
        <v>5200788.5999999996</v>
      </c>
    </row>
    <row r="59" spans="3:24" hidden="1" x14ac:dyDescent="0.2">
      <c r="C59" s="145" t="s">
        <v>111</v>
      </c>
      <c r="D59" s="136"/>
    </row>
    <row r="60" spans="3:24" hidden="1" x14ac:dyDescent="0.2">
      <c r="C60" s="145" t="s">
        <v>112</v>
      </c>
      <c r="D60" s="136"/>
    </row>
    <row r="61" spans="3:24" hidden="1" x14ac:dyDescent="0.2">
      <c r="C61" s="106" t="s">
        <v>109</v>
      </c>
      <c r="D61" s="106">
        <v>-225994</v>
      </c>
    </row>
    <row r="62" spans="3:24" hidden="1" x14ac:dyDescent="0.2">
      <c r="C62" s="106" t="s">
        <v>110</v>
      </c>
      <c r="D62" s="106">
        <f>-16*11347</f>
        <v>-181552</v>
      </c>
    </row>
    <row r="63" spans="3:24" hidden="1" x14ac:dyDescent="0.2">
      <c r="C63" s="106" t="s">
        <v>20</v>
      </c>
      <c r="D63" s="171">
        <f>-10*11347</f>
        <v>-113470</v>
      </c>
    </row>
    <row r="64" spans="3:24" hidden="1" x14ac:dyDescent="0.2">
      <c r="C64" s="106" t="s">
        <v>113</v>
      </c>
      <c r="D64" s="1">
        <f>SUM(D58:D63)</f>
        <v>4679772.5999999996</v>
      </c>
    </row>
    <row r="65" spans="3:5" hidden="1" x14ac:dyDescent="0.2">
      <c r="C65" s="108"/>
      <c r="D65" s="136"/>
    </row>
    <row r="66" spans="3:5" hidden="1" x14ac:dyDescent="0.2">
      <c r="C66" s="108"/>
      <c r="D66" s="136"/>
    </row>
    <row r="67" spans="3:5" x14ac:dyDescent="0.2">
      <c r="C67" s="108" t="s">
        <v>117</v>
      </c>
    </row>
    <row r="69" spans="3:5" x14ac:dyDescent="0.2">
      <c r="D69" s="1"/>
      <c r="E69" s="145"/>
    </row>
  </sheetData>
  <mergeCells count="12">
    <mergeCell ref="K3:O3"/>
    <mergeCell ref="Q3:V3"/>
    <mergeCell ref="B4:C4"/>
    <mergeCell ref="E4:F4"/>
    <mergeCell ref="G4:H4"/>
    <mergeCell ref="L45:O45"/>
    <mergeCell ref="B32:C32"/>
    <mergeCell ref="B36:C36"/>
    <mergeCell ref="L40:O40"/>
    <mergeCell ref="L41:O41"/>
    <mergeCell ref="L42:O42"/>
    <mergeCell ref="L43:O43"/>
  </mergeCells>
  <pageMargins left="3.937007874015748E-2" right="3.937007874015748E-2" top="0.31496062992125984" bottom="0.31496062992125984" header="0.31496062992125984" footer="0.11811023622047245"/>
  <pageSetup paperSize="9" scale="67" orientation="landscape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175171/18</EnclosureFileNumber>
    <MeetingStartDate xmlns="d08b57ff-b9b7-4581-975d-98f87b579a51">2018-11-13T12:00:00+00:00</MeetingStartDate>
    <AgendaId xmlns="d08b57ff-b9b7-4581-975d-98f87b579a51">9050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3080419</FusionId>
    <DocumentType xmlns="d08b57ff-b9b7-4581-975d-98f87b579a51"/>
    <AgendaAccessLevelName xmlns="d08b57ff-b9b7-4581-975d-98f87b579a51">Åben</AgendaAccessLevelName>
    <UNC xmlns="d08b57ff-b9b7-4581-975d-98f87b579a51">2812106</UNC>
    <MeetingDateAndTime xmlns="d08b57ff-b9b7-4581-975d-98f87b579a51">13-11-2018 fra 13:00 - 17:30</MeetingDateAndTime>
    <MeetingTitle xmlns="d08b57ff-b9b7-4581-975d-98f87b579a51">13-11-2018</MeetingTitle>
    <MeetingEndDate xmlns="d08b57ff-b9b7-4581-975d-98f87b579a51">2018-11-13T16:30:00+00:00</MeetingEndDate>
    <PWDescription xmlns="d08b57ff-b9b7-4581-975d-98f87b579a51">uden klubber som lukker pr. 1.8.2019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C2F5CA1-C07B-4E5D-BD86-26347E33D763}"/>
</file>

<file path=customXml/itemProps2.xml><?xml version="1.0" encoding="utf-8"?>
<ds:datastoreItem xmlns:ds="http://schemas.openxmlformats.org/officeDocument/2006/customXml" ds:itemID="{37F03FB0-A093-498B-B70A-E4F97975346F}"/>
</file>

<file path=customXml/itemProps3.xml><?xml version="1.0" encoding="utf-8"?>
<ds:datastoreItem xmlns:ds="http://schemas.openxmlformats.org/officeDocument/2006/customXml" ds:itemID="{4AC956A5-6A49-4380-82A9-45BDF156B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ark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-13-11-2018 - Bilag 158.01 Model 1 Juniorklubber - forslag til ny tildelingsmodel fra 182019</dc:title>
  <dc:creator>Lissy Andersen</dc:creator>
  <cp:lastModifiedBy>Birthe Laustrup Carstensen</cp:lastModifiedBy>
  <cp:lastPrinted>2018-11-15T12:32:35Z</cp:lastPrinted>
  <dcterms:created xsi:type="dcterms:W3CDTF">1996-11-12T13:28:11Z</dcterms:created>
  <dcterms:modified xsi:type="dcterms:W3CDTF">2018-11-15T12:53:19Z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